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21015" windowHeight="9975" activeTab="1"/>
  </bookViews>
  <sheets>
    <sheet name="(HA-NaA)+HB " sheetId="1" r:id="rId1"/>
    <sheet name="HA+NaB" sheetId="2" r:id="rId2"/>
    <sheet name="Φύλλο3" sheetId="3" r:id="rId3"/>
  </sheets>
  <calcPr calcId="125725"/>
</workbook>
</file>

<file path=xl/calcChain.xml><?xml version="1.0" encoding="utf-8"?>
<calcChain xmlns="http://schemas.openxmlformats.org/spreadsheetml/2006/main">
  <c r="N2" i="2"/>
  <c r="G11" s="1"/>
  <c r="E5"/>
  <c r="C5"/>
  <c r="D12" i="1"/>
  <c r="C12"/>
  <c r="C3"/>
  <c r="C4" s="1"/>
  <c r="I8" i="2" l="1"/>
  <c r="E8"/>
  <c r="G8"/>
  <c r="D11" s="1"/>
  <c r="C8"/>
  <c r="G12"/>
  <c r="I12" s="1"/>
  <c r="G22" i="1"/>
  <c r="H22"/>
  <c r="F22"/>
  <c r="D16" i="2" l="1"/>
  <c r="F16" s="1"/>
  <c r="D10"/>
  <c r="M8"/>
  <c r="F24" i="1"/>
  <c r="F25" s="1"/>
  <c r="F26" l="1"/>
  <c r="C19" s="1"/>
  <c r="C20" s="1"/>
  <c r="F13" l="1"/>
  <c r="F14" s="1"/>
  <c r="F16" s="1"/>
  <c r="G13"/>
  <c r="G14" s="1"/>
  <c r="G16" s="1"/>
  <c r="C13"/>
  <c r="C14" s="1"/>
  <c r="C16" s="1"/>
  <c r="D13"/>
  <c r="D14" s="1"/>
  <c r="D16" s="1"/>
  <c r="C18" l="1"/>
  <c r="I28"/>
  <c r="I29" s="1"/>
  <c r="F28"/>
  <c r="F29" s="1"/>
</calcChain>
</file>

<file path=xl/sharedStrings.xml><?xml version="1.0" encoding="utf-8"?>
<sst xmlns="http://schemas.openxmlformats.org/spreadsheetml/2006/main" count="75" uniqueCount="59">
  <si>
    <t>K(HA)</t>
  </si>
  <si>
    <t>K(HB)</t>
  </si>
  <si>
    <t>HB</t>
  </si>
  <si>
    <t>NaA</t>
  </si>
  <si>
    <t>&lt;=&gt;</t>
  </si>
  <si>
    <t>HA</t>
  </si>
  <si>
    <t>NaB</t>
  </si>
  <si>
    <t>Αρχικά</t>
  </si>
  <si>
    <t xml:space="preserve">Αντιδρούν </t>
  </si>
  <si>
    <t>Μένουν ( mol)</t>
  </si>
  <si>
    <t>Συγκεντρώσεις (mol/L)</t>
  </si>
  <si>
    <t>Τριωνυμο από την διαίρεση κατά μέλη των Κ1/Κ2</t>
  </si>
  <si>
    <t>α</t>
  </si>
  <si>
    <t>β</t>
  </si>
  <si>
    <t>γ</t>
  </si>
  <si>
    <t>Διακρίνουσα</t>
  </si>
  <si>
    <t xml:space="preserve">Λύσεις </t>
  </si>
  <si>
    <t>x1</t>
  </si>
  <si>
    <t>x2</t>
  </si>
  <si>
    <t>[H3O]</t>
  </si>
  <si>
    <t>_pH_</t>
  </si>
  <si>
    <t>ΗΑ (M)</t>
  </si>
  <si>
    <t>ΝαΑ (M)</t>
  </si>
  <si>
    <t>Δ/ΜΑ 1 (L)</t>
  </si>
  <si>
    <t>Δ/ΜΑ 2 (L)</t>
  </si>
  <si>
    <t>HB (M)</t>
  </si>
  <si>
    <t>K(HA)/K(HB)</t>
  </si>
  <si>
    <t>K(HB)/K(HA) = a</t>
  </si>
  <si>
    <t>&lt;--------------</t>
  </si>
  <si>
    <t>ΑΠΟΡ</t>
  </si>
  <si>
    <t>ΔΕΚΤΗ</t>
  </si>
  <si>
    <t>Κc = [HA][NaB]/[HB][NaA]</t>
  </si>
  <si>
    <t>ΑΠΟΔΟΣΗ ΧΙ</t>
  </si>
  <si>
    <t>ΑΠΟΔΟΣΗ ΧΙ (%)</t>
  </si>
  <si>
    <t>Δ1</t>
  </si>
  <si>
    <t>ΗΑ</t>
  </si>
  <si>
    <t>όγκου</t>
  </si>
  <si>
    <t>περιέχει</t>
  </si>
  <si>
    <t>Μ</t>
  </si>
  <si>
    <t>L</t>
  </si>
  <si>
    <t>Δ2</t>
  </si>
  <si>
    <t>ΝαΒ</t>
  </si>
  <si>
    <t>Κ(ΗΑ)</t>
  </si>
  <si>
    <t>Antidrasi</t>
  </si>
  <si>
    <t>+</t>
  </si>
  <si>
    <t>arxika (mol)</t>
  </si>
  <si>
    <t>menoun (mol)</t>
  </si>
  <si>
    <t>Sygkentrvseis</t>
  </si>
  <si>
    <t>C(HA)=C(NaB)=</t>
  </si>
  <si>
    <t>C(HB)=C(NaA)=</t>
  </si>
  <si>
    <t>Πηλίκο Κ(ΗΑ)/Κ(ΗΒ)</t>
  </si>
  <si>
    <t>x</t>
  </si>
  <si>
    <t>paragontai</t>
  </si>
  <si>
    <t>adridroun</t>
  </si>
  <si>
    <t>x=</t>
  </si>
  <si>
    <t>apodosi=</t>
  </si>
  <si>
    <t>apodosi%=</t>
  </si>
  <si>
    <t>ΚC isorropias=</t>
  </si>
  <si>
    <t xml:space="preserve">ara pH </t>
  </si>
</sst>
</file>

<file path=xl/styles.xml><?xml version="1.0" encoding="utf-8"?>
<styleSheet xmlns="http://schemas.openxmlformats.org/spreadsheetml/2006/main">
  <numFmts count="4">
    <numFmt numFmtId="164" formatCode="0.0000E+00"/>
    <numFmt numFmtId="165" formatCode="0.000"/>
    <numFmt numFmtId="166" formatCode="0.000000"/>
    <numFmt numFmtId="167" formatCode="0.0000"/>
  </numFmts>
  <fonts count="4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0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164" fontId="0" fillId="0" borderId="0" xfId="0" applyNumberFormat="1" applyFill="1"/>
    <xf numFmtId="0" fontId="0" fillId="3" borderId="0" xfId="0" applyFill="1"/>
    <xf numFmtId="0" fontId="0" fillId="2" borderId="0" xfId="0" applyFill="1" applyAlignment="1">
      <alignment horizontal="center"/>
    </xf>
    <xf numFmtId="11" fontId="0" fillId="0" borderId="0" xfId="0" applyNumberFormat="1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166" fontId="0" fillId="0" borderId="0" xfId="0" applyNumberFormat="1" applyFill="1"/>
    <xf numFmtId="166" fontId="0" fillId="4" borderId="0" xfId="0" applyNumberFormat="1" applyFill="1"/>
    <xf numFmtId="166" fontId="0" fillId="0" borderId="0" xfId="0" applyNumberFormat="1"/>
    <xf numFmtId="0" fontId="0" fillId="4" borderId="0" xfId="0" applyFill="1"/>
    <xf numFmtId="0" fontId="1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5" borderId="0" xfId="0" applyFill="1"/>
    <xf numFmtId="0" fontId="1" fillId="5" borderId="0" xfId="0" applyFont="1" applyFill="1" applyAlignment="1">
      <alignment horizontal="center"/>
    </xf>
    <xf numFmtId="167" fontId="1" fillId="5" borderId="0" xfId="0" applyNumberFormat="1" applyFont="1" applyFill="1" applyAlignment="1">
      <alignment horizontal="center"/>
    </xf>
    <xf numFmtId="0" fontId="0" fillId="2" borderId="0" xfId="0" applyFill="1"/>
    <xf numFmtId="166" fontId="0" fillId="2" borderId="0" xfId="0" applyNumberFormat="1" applyFill="1"/>
    <xf numFmtId="0" fontId="3" fillId="0" borderId="0" xfId="0" applyFont="1"/>
    <xf numFmtId="11" fontId="2" fillId="6" borderId="0" xfId="0" applyNumberFormat="1" applyFont="1" applyFill="1"/>
    <xf numFmtId="1" fontId="0" fillId="2" borderId="0" xfId="0" applyNumberFormat="1" applyFill="1" applyAlignment="1">
      <alignment horizontal="center"/>
    </xf>
    <xf numFmtId="164" fontId="0" fillId="3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247649</xdr:colOff>
      <xdr:row>2</xdr:row>
      <xdr:rowOff>66679</xdr:rowOff>
    </xdr:from>
    <xdr:to>
      <xdr:col>13</xdr:col>
      <xdr:colOff>342898</xdr:colOff>
      <xdr:row>6</xdr:row>
      <xdr:rowOff>133351</xdr:rowOff>
    </xdr:to>
    <xdr:cxnSp macro="">
      <xdr:nvCxnSpPr>
        <xdr:cNvPr id="3" name="2 - Γωνιακή σύνδεση"/>
        <xdr:cNvCxnSpPr/>
      </xdr:nvCxnSpPr>
      <xdr:spPr>
        <a:xfrm rot="5400000" flipH="1" flipV="1">
          <a:off x="8291513" y="509590"/>
          <a:ext cx="828672" cy="704849"/>
        </a:xfrm>
        <a:prstGeom prst="bentConnector3">
          <a:avLst>
            <a:gd name="adj1" fmla="val 60345"/>
          </a:avLst>
        </a:prstGeom>
        <a:ln w="28575"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600075</xdr:colOff>
      <xdr:row>1</xdr:row>
      <xdr:rowOff>142876</xdr:rowOff>
    </xdr:from>
    <xdr:to>
      <xdr:col>15</xdr:col>
      <xdr:colOff>323850</xdr:colOff>
      <xdr:row>10</xdr:row>
      <xdr:rowOff>28576</xdr:rowOff>
    </xdr:to>
    <xdr:sp macro="" textlink="">
      <xdr:nvSpPr>
        <xdr:cNvPr id="10" name="9 - Έκρηξη 2"/>
        <xdr:cNvSpPr/>
      </xdr:nvSpPr>
      <xdr:spPr>
        <a:xfrm>
          <a:off x="8705850" y="333376"/>
          <a:ext cx="2057400" cy="1600200"/>
        </a:xfrm>
        <a:prstGeom prst="irregularSeal2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koita na deis !!!!!!</a:t>
          </a:r>
          <a:endParaRPr lang="el-GR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W29"/>
  <sheetViews>
    <sheetView workbookViewId="0">
      <selection activeCell="K21" sqref="K21"/>
    </sheetView>
  </sheetViews>
  <sheetFormatPr defaultRowHeight="15"/>
  <cols>
    <col min="2" max="2" width="23.42578125" customWidth="1"/>
    <col min="3" max="3" width="9.28515625" bestFit="1" customWidth="1"/>
    <col min="4" max="4" width="12" bestFit="1" customWidth="1"/>
    <col min="5" max="5" width="10.5703125" bestFit="1" customWidth="1"/>
    <col min="6" max="6" width="13.7109375" bestFit="1" customWidth="1"/>
    <col min="7" max="7" width="11.7109375" customWidth="1"/>
    <col min="8" max="8" width="11" bestFit="1" customWidth="1"/>
    <col min="9" max="9" width="11.5703125" bestFit="1" customWidth="1"/>
    <col min="12" max="12" width="10.5703125" bestFit="1" customWidth="1"/>
  </cols>
  <sheetData>
    <row r="1" spans="2:23">
      <c r="B1" s="5" t="s">
        <v>0</v>
      </c>
      <c r="C1" s="24">
        <v>1.7504E-5</v>
      </c>
      <c r="D1" s="24"/>
    </row>
    <row r="2" spans="2:23">
      <c r="B2" t="s">
        <v>1</v>
      </c>
      <c r="C2" s="24">
        <v>6.5989999999999997E-5</v>
      </c>
      <c r="D2" s="24"/>
    </row>
    <row r="3" spans="2:23">
      <c r="B3" t="s">
        <v>26</v>
      </c>
      <c r="C3" s="25">
        <f>C1/C2</f>
        <v>0.26525231095620549</v>
      </c>
      <c r="D3" s="25"/>
      <c r="E3" s="8"/>
    </row>
    <row r="4" spans="2:23">
      <c r="B4" t="s">
        <v>27</v>
      </c>
      <c r="C4" s="25">
        <f>1/C3</f>
        <v>3.7699954296160878</v>
      </c>
      <c r="D4" s="25"/>
      <c r="E4" s="8"/>
    </row>
    <row r="6" spans="2:23">
      <c r="B6" s="1" t="s">
        <v>23</v>
      </c>
      <c r="C6" s="1" t="s">
        <v>21</v>
      </c>
      <c r="D6" s="1" t="s">
        <v>22</v>
      </c>
    </row>
    <row r="7" spans="2:23">
      <c r="B7" s="6">
        <v>0.1</v>
      </c>
      <c r="C7" s="6">
        <v>0.2</v>
      </c>
      <c r="D7" s="6">
        <v>0.2</v>
      </c>
    </row>
    <row r="8" spans="2:23">
      <c r="B8" s="1" t="s">
        <v>24</v>
      </c>
      <c r="C8" s="1" t="s">
        <v>25</v>
      </c>
    </row>
    <row r="9" spans="2:23">
      <c r="B9" s="6">
        <v>0.1</v>
      </c>
      <c r="C9" s="6">
        <v>0.2</v>
      </c>
    </row>
    <row r="10" spans="2:23">
      <c r="B10" s="1"/>
      <c r="C10" s="1"/>
    </row>
    <row r="11" spans="2:23"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</row>
    <row r="12" spans="2:23">
      <c r="B12" t="s">
        <v>7</v>
      </c>
      <c r="C12" s="1">
        <f>C9*B9</f>
        <v>2.0000000000000004E-2</v>
      </c>
      <c r="D12" s="1">
        <f>D7*B7</f>
        <v>2.0000000000000004E-2</v>
      </c>
      <c r="E12" s="1"/>
      <c r="F12" s="1">
        <v>0.02</v>
      </c>
      <c r="G12">
        <v>0</v>
      </c>
    </row>
    <row r="13" spans="2:23">
      <c r="B13" t="s">
        <v>8</v>
      </c>
      <c r="C13" s="11">
        <f>-F26</f>
        <v>-1.0678284187212136E-2</v>
      </c>
      <c r="D13" s="11">
        <f>-F26</f>
        <v>-1.0678284187212136E-2</v>
      </c>
      <c r="E13" s="13"/>
      <c r="F13" s="11">
        <f>+F26</f>
        <v>1.0678284187212136E-2</v>
      </c>
      <c r="G13" s="11">
        <f>F26</f>
        <v>1.0678284187212136E-2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2:23">
      <c r="B14" t="s">
        <v>9</v>
      </c>
      <c r="C14" s="10">
        <f>SUM(C12:C13)</f>
        <v>9.3217158127878678E-3</v>
      </c>
      <c r="D14" s="10">
        <f>SUM(D12:D13)</f>
        <v>9.3217158127878678E-3</v>
      </c>
      <c r="E14" s="2"/>
      <c r="F14" s="10">
        <f>SUM(F12:F13)</f>
        <v>3.0678284187212135E-2</v>
      </c>
      <c r="G14" s="12">
        <f>SUM(G12:G13)</f>
        <v>1.0678284187212136E-2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2:23"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2:23">
      <c r="B16" t="s">
        <v>10</v>
      </c>
      <c r="C16" s="2">
        <f>C14/($B$7+$B$9)</f>
        <v>4.6608579063939337E-2</v>
      </c>
      <c r="D16" s="10">
        <f>D14/($B$7+$B$9)</f>
        <v>4.6608579063939337E-2</v>
      </c>
      <c r="E16" s="2"/>
      <c r="F16" s="10">
        <f>F14/($B$7+$B$9)</f>
        <v>0.15339142093606067</v>
      </c>
      <c r="G16" s="10">
        <f>G14/($B$7+$B$9)</f>
        <v>5.3391420936060675E-2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2:23">
      <c r="C17" s="2"/>
      <c r="D17" s="2"/>
      <c r="E17" s="2"/>
      <c r="F17" s="2"/>
      <c r="G17" s="3"/>
      <c r="H17" s="3"/>
      <c r="I17" s="3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2:23">
      <c r="B18" t="s">
        <v>31</v>
      </c>
      <c r="C18" s="2">
        <f>G16*F16/(C16*D16)</f>
        <v>3.7699954296160834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2:23">
      <c r="B19" t="s">
        <v>32</v>
      </c>
      <c r="C19" s="13">
        <f>F26/C12</f>
        <v>0.53391420936060674</v>
      </c>
      <c r="D19" s="4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2:23">
      <c r="B20" t="s">
        <v>33</v>
      </c>
      <c r="C20" s="16">
        <f>C19*100</f>
        <v>53.391420936060676</v>
      </c>
      <c r="D20" s="4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2:23">
      <c r="C21" s="2"/>
      <c r="D21" s="2"/>
      <c r="E21" s="2"/>
      <c r="F21" s="3" t="s">
        <v>12</v>
      </c>
      <c r="G21" s="3" t="s">
        <v>13</v>
      </c>
      <c r="H21" s="3" t="s">
        <v>14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2:23">
      <c r="B22" s="2" t="s">
        <v>11</v>
      </c>
      <c r="D22" s="2"/>
      <c r="E22" s="2"/>
      <c r="F22" s="4">
        <f>C4-1</f>
        <v>2.7699954296160878</v>
      </c>
      <c r="G22" s="4">
        <f>-(C4*C12*2+F12)</f>
        <v>-0.17079981718464354</v>
      </c>
      <c r="H22" s="4">
        <f>C4*F12^2</f>
        <v>1.5079981718464353E-3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2:23"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2:23">
      <c r="C24" s="2"/>
      <c r="D24" t="s">
        <v>15</v>
      </c>
      <c r="F24" s="4">
        <f>G22^2-4*F22*H22</f>
        <v>1.2463985374771488E-2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2:23">
      <c r="C25" s="2"/>
      <c r="D25" s="2"/>
      <c r="E25" s="3" t="s">
        <v>17</v>
      </c>
      <c r="F25" s="11">
        <f>(-G22+SQRT(F24))/(2*F22)</f>
        <v>5.0982401371505857E-2</v>
      </c>
      <c r="G25" s="2" t="s">
        <v>28</v>
      </c>
      <c r="H25" s="2" t="s">
        <v>29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2:23">
      <c r="D26" t="s">
        <v>16</v>
      </c>
      <c r="E26" s="1" t="s">
        <v>18</v>
      </c>
      <c r="F26" s="11">
        <f>(-G22-SQRT(F24))/(2*F22)</f>
        <v>1.0678284187212136E-2</v>
      </c>
      <c r="G26" s="2" t="s">
        <v>28</v>
      </c>
      <c r="H26" s="2" t="s">
        <v>30</v>
      </c>
    </row>
    <row r="28" spans="2:23">
      <c r="E28" s="1" t="s">
        <v>19</v>
      </c>
      <c r="F28" s="7">
        <f>C1*F16/D16</f>
        <v>5.7606635644941587E-5</v>
      </c>
      <c r="G28" s="1"/>
      <c r="H28" s="1" t="s">
        <v>19</v>
      </c>
      <c r="I28" s="9">
        <f>C2*C16/G16</f>
        <v>5.7606635644941654E-5</v>
      </c>
    </row>
    <row r="29" spans="2:23">
      <c r="E29" s="17" t="s">
        <v>20</v>
      </c>
      <c r="F29" s="18">
        <f>-LOG10(F28)</f>
        <v>4.239527487792091</v>
      </c>
      <c r="G29" s="1"/>
      <c r="H29" s="14" t="s">
        <v>20</v>
      </c>
      <c r="I29" s="15">
        <f>-LOG10(I28)</f>
        <v>4.2395274877920901</v>
      </c>
    </row>
  </sheetData>
  <mergeCells count="4">
    <mergeCell ref="C1:D1"/>
    <mergeCell ref="C2:D2"/>
    <mergeCell ref="C3:D3"/>
    <mergeCell ref="C4:D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7"/>
  <sheetViews>
    <sheetView tabSelected="1" workbookViewId="0">
      <selection activeCell="J3" sqref="J3"/>
    </sheetView>
  </sheetViews>
  <sheetFormatPr defaultRowHeight="15"/>
  <cols>
    <col min="2" max="2" width="13.85546875" bestFit="1" customWidth="1"/>
    <col min="3" max="3" width="13.42578125" bestFit="1" customWidth="1"/>
    <col min="4" max="4" width="9.5703125" bestFit="1" customWidth="1"/>
    <col min="10" max="10" width="11.5703125" bestFit="1" customWidth="1"/>
    <col min="14" max="14" width="16.7109375" bestFit="1" customWidth="1"/>
  </cols>
  <sheetData>
    <row r="1" spans="1:14">
      <c r="A1" s="1" t="s">
        <v>34</v>
      </c>
      <c r="B1" s="1" t="s">
        <v>36</v>
      </c>
      <c r="C1" s="3">
        <v>0.1</v>
      </c>
      <c r="D1" s="1" t="s">
        <v>39</v>
      </c>
      <c r="E1" s="1" t="s">
        <v>37</v>
      </c>
      <c r="F1" s="1" t="s">
        <v>35</v>
      </c>
      <c r="G1" s="3">
        <v>0.2</v>
      </c>
      <c r="H1" s="1" t="s">
        <v>38</v>
      </c>
      <c r="I1" t="s">
        <v>42</v>
      </c>
      <c r="J1" s="22">
        <v>9.0000000000000006E-5</v>
      </c>
    </row>
    <row r="2" spans="1:14">
      <c r="A2" s="1" t="s">
        <v>40</v>
      </c>
      <c r="B2" s="1"/>
      <c r="C2" s="3">
        <v>0.1</v>
      </c>
      <c r="D2" s="1" t="s">
        <v>39</v>
      </c>
      <c r="E2" s="1"/>
      <c r="F2" s="1" t="s">
        <v>41</v>
      </c>
      <c r="G2" s="3">
        <v>0.2</v>
      </c>
      <c r="H2" s="1" t="s">
        <v>38</v>
      </c>
      <c r="I2" t="s">
        <v>1</v>
      </c>
      <c r="J2" s="22">
        <v>1.0000000000000001E-5</v>
      </c>
      <c r="L2" t="s">
        <v>50</v>
      </c>
      <c r="N2" s="23">
        <f>J1/J2</f>
        <v>9</v>
      </c>
    </row>
    <row r="3" spans="1:14">
      <c r="G3" s="2"/>
    </row>
    <row r="4" spans="1:14">
      <c r="B4" t="s">
        <v>43</v>
      </c>
      <c r="C4" s="14" t="s">
        <v>5</v>
      </c>
      <c r="D4" s="14" t="s">
        <v>44</v>
      </c>
      <c r="E4" s="14" t="s">
        <v>6</v>
      </c>
      <c r="F4" s="14" t="s">
        <v>4</v>
      </c>
      <c r="G4" s="14" t="s">
        <v>2</v>
      </c>
      <c r="H4" s="14" t="s">
        <v>44</v>
      </c>
      <c r="I4" s="14" t="s">
        <v>3</v>
      </c>
    </row>
    <row r="5" spans="1:14">
      <c r="B5" t="s">
        <v>45</v>
      </c>
      <c r="C5" s="1">
        <f>C1*G1</f>
        <v>2.0000000000000004E-2</v>
      </c>
      <c r="D5" s="1"/>
      <c r="E5" s="1">
        <f>C2*G2</f>
        <v>2.0000000000000004E-2</v>
      </c>
      <c r="F5" s="1"/>
      <c r="G5" s="1"/>
      <c r="H5" s="1"/>
      <c r="I5" s="1"/>
    </row>
    <row r="6" spans="1:14">
      <c r="B6" t="s">
        <v>53</v>
      </c>
      <c r="C6" s="1" t="s">
        <v>51</v>
      </c>
      <c r="D6" s="1"/>
      <c r="E6" s="1" t="s">
        <v>51</v>
      </c>
      <c r="F6" s="1"/>
      <c r="G6" s="1"/>
      <c r="H6" s="1"/>
      <c r="I6" s="1"/>
    </row>
    <row r="7" spans="1:14">
      <c r="B7" t="s">
        <v>52</v>
      </c>
      <c r="C7" s="1"/>
      <c r="D7" s="1"/>
      <c r="E7" s="1"/>
      <c r="F7" s="1"/>
      <c r="G7" s="1" t="s">
        <v>51</v>
      </c>
      <c r="H7" s="1"/>
      <c r="I7" s="1" t="s">
        <v>51</v>
      </c>
    </row>
    <row r="8" spans="1:14">
      <c r="B8" t="s">
        <v>46</v>
      </c>
      <c r="C8" s="6">
        <f>C5-G11</f>
        <v>5.000000000000001E-3</v>
      </c>
      <c r="D8" s="1"/>
      <c r="E8" s="6">
        <f>E5-G11</f>
        <v>5.000000000000001E-3</v>
      </c>
      <c r="F8" s="1"/>
      <c r="G8" s="6">
        <f>G11</f>
        <v>1.5000000000000003E-2</v>
      </c>
      <c r="H8" s="1"/>
      <c r="I8" s="6">
        <f>G11</f>
        <v>1.5000000000000003E-2</v>
      </c>
      <c r="K8" s="26" t="s">
        <v>57</v>
      </c>
      <c r="L8" s="26"/>
      <c r="M8" s="6">
        <f>G8*I8/(C8*E8)</f>
        <v>8.9999999999999982</v>
      </c>
    </row>
    <row r="10" spans="1:14">
      <c r="B10" t="s">
        <v>47</v>
      </c>
      <c r="C10" t="s">
        <v>48</v>
      </c>
      <c r="D10" s="20">
        <f>C8/(C1+C2)</f>
        <v>2.5000000000000005E-2</v>
      </c>
    </row>
    <row r="11" spans="1:14">
      <c r="C11" t="s">
        <v>49</v>
      </c>
      <c r="D11" s="19">
        <f>G8/(C1+C2)</f>
        <v>7.5000000000000011E-2</v>
      </c>
      <c r="F11" s="6" t="s">
        <v>54</v>
      </c>
      <c r="G11" s="6">
        <f>(C5*SQRT(N2))/(1+SQRT(N2))</f>
        <v>1.5000000000000003E-2</v>
      </c>
    </row>
    <row r="12" spans="1:14">
      <c r="F12" t="s">
        <v>55</v>
      </c>
      <c r="G12" s="6">
        <f>G11/C5</f>
        <v>0.75</v>
      </c>
      <c r="H12" t="s">
        <v>56</v>
      </c>
      <c r="I12" s="6">
        <f>G12*100</f>
        <v>75</v>
      </c>
    </row>
    <row r="16" spans="1:14">
      <c r="C16" s="14" t="s">
        <v>19</v>
      </c>
      <c r="D16" s="19">
        <f>J1*C8/G11</f>
        <v>3.0000000000000004E-5</v>
      </c>
      <c r="E16" s="14" t="s">
        <v>58</v>
      </c>
      <c r="F16" s="19">
        <f>-LOG10(D16)</f>
        <v>4.5228787452803374</v>
      </c>
    </row>
    <row r="17" spans="10:10">
      <c r="J17" s="21"/>
    </row>
  </sheetData>
  <mergeCells count="1">
    <mergeCell ref="K8:L8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(HA-NaA)+HB </vt:lpstr>
      <vt:lpstr>HA+NaB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2011-07-18T15:56:31Z</dcterms:created>
  <dcterms:modified xsi:type="dcterms:W3CDTF">2013-07-03T08:55:27Z</dcterms:modified>
</cp:coreProperties>
</file>